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<sst xmlns="http://schemas.openxmlformats.org/spreadsheetml/2006/main" count="164" uniqueCount="117">
  <si>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</si>
  <si>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</si>
  <si>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</si>
  <si>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</si>
  <si>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</si>
  <si>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</si>
  <si>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</si>
  <si>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</si>
  <si>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</si>
  <si>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</si>
  <si>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</si>
  <si>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</si>
  <si>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</si>
  <si>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</si>
  <si>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</si>
  <si>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</si>
  <si>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</si>
  <si>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</si>
  <si>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</si>
  <si>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</si>
  <si>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</si>
  <si>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</si>
  <si>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</si>
  <si>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</si>
  <si>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</si>
  <si>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</si>
  <si>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</si>
  <si>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</si>
  <si>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</si>
  <si>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</si>
  <si>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</si>
  <si>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</si>
  <si>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</si>
  <si>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</si>
  <si>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</si>
  <si>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</si>
  <si>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</si>
  <si>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</si>
  <si>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</si>
  <si>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</si>
  <si>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</si>
  <si>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</si>
  <si>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</si>
  <si>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</si>
  <si>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</si>
  <si>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</si>
  <si>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</si>
  <si>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</si>
  <si>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</si>
  <si>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</si>
  <si>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</si>
  <si>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</si>
  <si>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</si>
  <si>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</si>
  <si>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</si>
  <si>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</si>
  <si>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</si>
  <si>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</si>
  <si>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</si>
  <si>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</si>
  <si>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</si>
  <si>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</si>
  <si>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</si>
  <si>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</si>
  <si>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</si>
  <si>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</si>
  <si>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</si>
  <si>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</si>
  <si>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</si>
  <si>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</si>
  <si>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</si>
  <si>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</si>
  <si>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</si>
  <si>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</si>
  <si>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</si>
  <si>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</si>
  <si>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</si>
  <si>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</si>
  <si>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</si>
  <si>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</si>
  <si>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</si>
  <si>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</si>
  <si>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</si>
  <si>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</si>
  <si>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</si>
  <si>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</si>
  <si>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</si>
  <si>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</si>
  <si>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</si>
  <si>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</si>
  <si>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</si>
  <si>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</si>
  <si>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</si>
  <si>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</si>
  <si>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</si>
  <si>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</si>
  <si>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</si>
  <si>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</si>
  <si>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</si>
  <si>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</si>
  <si>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</si>
  <si>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</si>
  <si>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</si>
  <si>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</si>
  <si>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</si>
  <si>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2-х місяців, тис.грн.</t>
  </si>
  <si>
    <t>План на рік, тис.грн.</t>
  </si>
  <si>
    <t>Відсоток виконання плану 2-х місяців</t>
  </si>
  <si>
    <t>Відсоток виконання річного плану</t>
  </si>
  <si>
    <t>Відхилення від плану 2-х місяців, тис.грн.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</si>
  <si>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</si>
  <si>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</si>
  <si>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</si>
  <si>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</si>
  <si>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</si>
  <si>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</si>
  <si>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Аналіз використання коштів міського бюджету за 2015 рік станом на 24.02.2015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</si>
</sst>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66740504"/>
        <c:axId val="63793625"/>
      </c:bar3DChart>
      <c:catAx>
        <c:axId val="66740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793625"/>
        <c:crosses val="autoZero"/>
        <c:auto val="1"/>
        <c:lblOffset val="100"/>
        <c:tickLblSkip val="1"/>
        <c:noMultiLvlLbl val="0"/>
      </c:catAx>
      <c:valAx>
        <c:axId val="63793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0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37271714"/>
        <c:axId val="67009971"/>
      </c:bar3DChart>
      <c:catAx>
        <c:axId val="3727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09971"/>
        <c:crosses val="autoZero"/>
        <c:auto val="1"/>
        <c:lblOffset val="100"/>
        <c:tickLblSkip val="1"/>
        <c:noMultiLvlLbl val="0"/>
      </c:catAx>
      <c:valAx>
        <c:axId val="67009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71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66218828"/>
        <c:axId val="59098541"/>
      </c:bar3DChart>
      <c:catAx>
        <c:axId val="66218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98541"/>
        <c:crosses val="autoZero"/>
        <c:auto val="1"/>
        <c:lblOffset val="100"/>
        <c:tickLblSkip val="1"/>
        <c:noMultiLvlLbl val="0"/>
      </c:catAx>
      <c:valAx>
        <c:axId val="59098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8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62124822"/>
        <c:axId val="22252487"/>
      </c:bar3DChart>
      <c:catAx>
        <c:axId val="621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52487"/>
        <c:crosses val="autoZero"/>
        <c:auto val="1"/>
        <c:lblOffset val="100"/>
        <c:tickLblSkip val="1"/>
        <c:noMultiLvlLbl val="0"/>
      </c:catAx>
      <c:valAx>
        <c:axId val="22252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24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66054656"/>
        <c:axId val="57620993"/>
      </c:bar3D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20993"/>
        <c:crosses val="autoZero"/>
        <c:auto val="1"/>
        <c:lblOffset val="100"/>
        <c:tickLblSkip val="2"/>
        <c:noMultiLvlLbl val="0"/>
      </c:catAx>
      <c:valAx>
        <c:axId val="576209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48826890"/>
        <c:axId val="36788827"/>
      </c:bar3D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26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62663988"/>
        <c:axId val="27104981"/>
      </c:bar3D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639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42618238"/>
        <c:axId val="48019823"/>
      </c:bar3DChart>
      <c:catAx>
        <c:axId val="4261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19823"/>
        <c:crosses val="autoZero"/>
        <c:auto val="1"/>
        <c:lblOffset val="100"/>
        <c:tickLblSkip val="1"/>
        <c:noMultiLvlLbl val="0"/>
      </c:catAx>
      <c:valAx>
        <c:axId val="48019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29525224"/>
        <c:axId val="64400425"/>
      </c:bar3DChart>
      <c:catAx>
        <c:axId val="2952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252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0" sqref="D90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116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105</v>
      </c>
      <c r="C3" s="151" t="s">
        <v>106</v>
      </c>
      <c r="D3" s="151" t="s">
        <v>29</v>
      </c>
      <c r="E3" s="151" t="s">
        <v>28</v>
      </c>
      <c r="F3" s="151" t="s">
        <v>107</v>
      </c>
      <c r="G3" s="151" t="s">
        <v>108</v>
      </c>
      <c r="H3" s="151" t="s">
        <v>109</v>
      </c>
      <c r="I3" s="151" t="s">
        <v>110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60509.5</v>
      </c>
      <c r="C6" s="53">
        <v>336144.8</v>
      </c>
      <c r="D6" s="54">
        <f>3778.8+318.6+74.4+4544.7+5310.3+2.2+304.5+4240.2+102.2+2722+99+59+395.4+13.7+14.4+157.5+8732.6+280+12.7+55.8+291.9+43.3</f>
        <v>31553.200000000008</v>
      </c>
      <c r="E6" s="3">
        <f>D6/D142*100</f>
        <v>39.04625429093997</v>
      </c>
      <c r="F6" s="3">
        <f>D6/B6*100</f>
        <v>52.14586139366547</v>
      </c>
      <c r="G6" s="3">
        <f aca="true" t="shared" si="0" ref="G6:G43">D6/C6*100</f>
        <v>9.386788074663064</v>
      </c>
      <c r="H6" s="3">
        <f>B6-D6</f>
        <v>28956.299999999992</v>
      </c>
      <c r="I6" s="3">
        <f aca="true" t="shared" si="1" ref="I6:I43">C6-D6</f>
        <v>304591.6</v>
      </c>
    </row>
    <row r="7" spans="1:9" s="44" customFormat="1" ht="18.75">
      <c r="A7" s="119" t="s">
        <v>111</v>
      </c>
      <c r="B7" s="120">
        <v>26787.1</v>
      </c>
      <c r="C7" s="121">
        <v>179936.4</v>
      </c>
      <c r="D7" s="122">
        <f>17278.1+34.8+43.3</f>
        <v>17356.199999999997</v>
      </c>
      <c r="E7" s="123">
        <f>D7/D6*100</f>
        <v>55.00614834628498</v>
      </c>
      <c r="F7" s="108">
        <f>D7/B7*100</f>
        <v>64.79312803550961</v>
      </c>
      <c r="G7" s="108">
        <f>D7/C7*100</f>
        <v>9.645741495328348</v>
      </c>
      <c r="H7" s="108">
        <f>B7-D7</f>
        <v>9430.900000000001</v>
      </c>
      <c r="I7" s="108">
        <f t="shared" si="1"/>
        <v>162580.2</v>
      </c>
    </row>
    <row r="8" spans="1:9" ht="18">
      <c r="A8" s="29" t="s">
        <v>3</v>
      </c>
      <c r="B8" s="49">
        <v>40465.7</v>
      </c>
      <c r="C8" s="50">
        <v>251964.7</v>
      </c>
      <c r="D8" s="51">
        <f>2656.8+4544.7+5310.3+304.5+4240.2+2115.7+0.5+13.7+8260.2</f>
        <v>27446.600000000002</v>
      </c>
      <c r="E8" s="1">
        <f>D8/D6*100</f>
        <v>86.98515522989743</v>
      </c>
      <c r="F8" s="1">
        <f>D8/B8*100</f>
        <v>67.8268261762431</v>
      </c>
      <c r="G8" s="1">
        <f t="shared" si="0"/>
        <v>10.89303382577004</v>
      </c>
      <c r="H8" s="1">
        <f>B8-D8</f>
        <v>13019.099999999995</v>
      </c>
      <c r="I8" s="1">
        <f t="shared" si="1"/>
        <v>224518.1</v>
      </c>
    </row>
    <row r="9" spans="1:9" ht="18">
      <c r="A9" s="29" t="s">
        <v>2</v>
      </c>
      <c r="B9" s="49">
        <v>1</v>
      </c>
      <c r="C9" s="50">
        <v>45.2</v>
      </c>
      <c r="D9" s="51"/>
      <c r="E9" s="12">
        <f>D9/D6*100</f>
        <v>0</v>
      </c>
      <c r="F9" s="149">
        <f>D9/B9*100</f>
        <v>0</v>
      </c>
      <c r="G9" s="1">
        <f t="shared" si="0"/>
        <v>0</v>
      </c>
      <c r="H9" s="1">
        <f aca="true" t="shared" si="2" ref="H9:H43">B9-D9</f>
        <v>1</v>
      </c>
      <c r="I9" s="1">
        <f t="shared" si="1"/>
        <v>45.2</v>
      </c>
    </row>
    <row r="10" spans="1:9" ht="18">
      <c r="A10" s="29" t="s">
        <v>1</v>
      </c>
      <c r="B10" s="49">
        <v>3431.9</v>
      </c>
      <c r="C10" s="50">
        <v>21498.1</v>
      </c>
      <c r="D10" s="55">
        <f>391.1+295.4+72.7+84.3+268.2+68.6+39+308.5+154.7+328.1+203.3+53.9+39.8+25.1</f>
        <v>2332.7000000000003</v>
      </c>
      <c r="E10" s="1">
        <f>D10/D6*100</f>
        <v>7.392911020118402</v>
      </c>
      <c r="F10" s="1">
        <f aca="true" t="shared" si="3" ref="F10:F41">D10/B10*100</f>
        <v>67.9710947288674</v>
      </c>
      <c r="G10" s="1">
        <f t="shared" si="0"/>
        <v>10.850726343258243</v>
      </c>
      <c r="H10" s="1">
        <f t="shared" si="2"/>
        <v>1099.1999999999998</v>
      </c>
      <c r="I10" s="1">
        <f t="shared" si="1"/>
        <v>19165.399999999998</v>
      </c>
    </row>
    <row r="11" spans="1:9" ht="18">
      <c r="A11" s="29" t="s">
        <v>0</v>
      </c>
      <c r="B11" s="49">
        <v>16195.8</v>
      </c>
      <c r="C11" s="50">
        <v>59404.7</v>
      </c>
      <c r="D11" s="56">
        <f>710.3+17.9+0.2+17+333.3+17.1+16+76.8+12.9+141.2+71+247.3+17.2</f>
        <v>1678.2</v>
      </c>
      <c r="E11" s="1">
        <f>D11/D6*100</f>
        <v>5.31863646159502</v>
      </c>
      <c r="F11" s="1">
        <f t="shared" si="3"/>
        <v>10.361945689623237</v>
      </c>
      <c r="G11" s="1">
        <f t="shared" si="0"/>
        <v>2.8250289960222004</v>
      </c>
      <c r="H11" s="1">
        <f t="shared" si="2"/>
        <v>14517.599999999999</v>
      </c>
      <c r="I11" s="1">
        <f t="shared" si="1"/>
        <v>57726.5</v>
      </c>
    </row>
    <row r="12" spans="1:9" ht="18">
      <c r="A12" s="29" t="s">
        <v>15</v>
      </c>
      <c r="B12" s="49">
        <v>23.1</v>
      </c>
      <c r="C12" s="50">
        <v>286.2</v>
      </c>
      <c r="D12" s="51">
        <f>3.8+3.8+12.7</f>
        <v>20.299999999999997</v>
      </c>
      <c r="E12" s="1">
        <f>D12/D6*100</f>
        <v>0.06433578844617976</v>
      </c>
      <c r="F12" s="1">
        <f t="shared" si="3"/>
        <v>87.87878787878786</v>
      </c>
      <c r="G12" s="1">
        <f t="shared" si="0"/>
        <v>7.092941998602376</v>
      </c>
      <c r="H12" s="1">
        <f t="shared" si="2"/>
        <v>2.8000000000000043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392.00000000000216</v>
      </c>
      <c r="C13" s="50">
        <f>C6-C8-C9-C10-C11-C12</f>
        <v>2945.899999999984</v>
      </c>
      <c r="D13" s="50">
        <f>D6-D8-D9-D10-D11-D12</f>
        <v>75.4000000000055</v>
      </c>
      <c r="E13" s="1">
        <f>D13/D6*100</f>
        <v>0.23896149994297086</v>
      </c>
      <c r="F13" s="1">
        <f t="shared" si="3"/>
        <v>19.23469387755232</v>
      </c>
      <c r="G13" s="1">
        <f t="shared" si="0"/>
        <v>2.5594894599275575</v>
      </c>
      <c r="H13" s="1">
        <f t="shared" si="2"/>
        <v>316.59999999999667</v>
      </c>
      <c r="I13" s="1">
        <f t="shared" si="1"/>
        <v>2870.4999999999786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31358.8</v>
      </c>
      <c r="C18" s="53">
        <v>225678.2</v>
      </c>
      <c r="D18" s="54">
        <f>5164.3+574.5+4623.4+2805.2+358.8+626.5+552.8+632.3+5118.8+101.4+166.3+0.1</f>
        <v>20724.399999999998</v>
      </c>
      <c r="E18" s="3">
        <f>D18/D142*100</f>
        <v>25.64589938349061</v>
      </c>
      <c r="F18" s="3">
        <f>D18/B18*100</f>
        <v>66.08798806076763</v>
      </c>
      <c r="G18" s="3">
        <f t="shared" si="0"/>
        <v>9.1831643464012</v>
      </c>
      <c r="H18" s="3">
        <f>B18-D18</f>
        <v>10634.400000000001</v>
      </c>
      <c r="I18" s="3">
        <f t="shared" si="1"/>
        <v>204953.80000000002</v>
      </c>
    </row>
    <row r="19" spans="1:9" s="44" customFormat="1" ht="18.75">
      <c r="A19" s="119" t="s">
        <v>112</v>
      </c>
      <c r="B19" s="120">
        <v>31086.6</v>
      </c>
      <c r="C19" s="121">
        <v>186519.2</v>
      </c>
      <c r="D19" s="122">
        <v>20724.4</v>
      </c>
      <c r="E19" s="123">
        <f>D19/D18*100</f>
        <v>100.00000000000003</v>
      </c>
      <c r="F19" s="108">
        <f t="shared" si="3"/>
        <v>66.66666666666667</v>
      </c>
      <c r="G19" s="108">
        <f t="shared" si="0"/>
        <v>11.111134939459316</v>
      </c>
      <c r="H19" s="108">
        <f t="shared" si="2"/>
        <v>10362.199999999997</v>
      </c>
      <c r="I19" s="108">
        <f t="shared" si="1"/>
        <v>165794.80000000002</v>
      </c>
    </row>
    <row r="20" spans="1:9" ht="18">
      <c r="A20" s="29" t="s">
        <v>5</v>
      </c>
      <c r="B20" s="49">
        <v>24314.1</v>
      </c>
      <c r="C20" s="50">
        <v>169195.9</v>
      </c>
      <c r="D20" s="51">
        <f>5164.3+574.5+4352.6-225.6+2461.2+632.3+5026.9</f>
        <v>17986.199999999997</v>
      </c>
      <c r="E20" s="1">
        <f>D20/D18*100</f>
        <v>86.78755476636235</v>
      </c>
      <c r="F20" s="1">
        <f t="shared" si="3"/>
        <v>73.97436055622045</v>
      </c>
      <c r="G20" s="1">
        <f t="shared" si="0"/>
        <v>10.630399436392961</v>
      </c>
      <c r="H20" s="1">
        <f t="shared" si="2"/>
        <v>6327.9000000000015</v>
      </c>
      <c r="I20" s="1">
        <f t="shared" si="1"/>
        <v>151209.7</v>
      </c>
    </row>
    <row r="21" spans="1:9" ht="18">
      <c r="A21" s="29" t="s">
        <v>2</v>
      </c>
      <c r="B21" s="49">
        <v>655</v>
      </c>
      <c r="C21" s="50">
        <v>12491.1</v>
      </c>
      <c r="D21" s="51">
        <f>11+1.8+42.7+3+47.6</f>
        <v>106.1</v>
      </c>
      <c r="E21" s="1">
        <f>D21/D18*100</f>
        <v>0.5119569203451005</v>
      </c>
      <c r="F21" s="1">
        <f t="shared" si="3"/>
        <v>16.198473282442745</v>
      </c>
      <c r="G21" s="1">
        <f t="shared" si="0"/>
        <v>0.8494047762006548</v>
      </c>
      <c r="H21" s="1">
        <f t="shared" si="2"/>
        <v>548.9</v>
      </c>
      <c r="I21" s="1">
        <f t="shared" si="1"/>
        <v>12385</v>
      </c>
    </row>
    <row r="22" spans="1:9" ht="18">
      <c r="A22" s="29" t="s">
        <v>1</v>
      </c>
      <c r="B22" s="49">
        <v>477.2</v>
      </c>
      <c r="C22" s="50">
        <v>3253.3</v>
      </c>
      <c r="D22" s="51">
        <f>173.9+19+7.6+19.5</f>
        <v>220</v>
      </c>
      <c r="E22" s="1">
        <f>D22/D18*100</f>
        <v>1.0615506359653355</v>
      </c>
      <c r="F22" s="1">
        <f t="shared" si="3"/>
        <v>46.102263202011734</v>
      </c>
      <c r="G22" s="1">
        <f t="shared" si="0"/>
        <v>6.762364368487382</v>
      </c>
      <c r="H22" s="1">
        <f t="shared" si="2"/>
        <v>257.2</v>
      </c>
      <c r="I22" s="1">
        <f t="shared" si="1"/>
        <v>3033.3</v>
      </c>
    </row>
    <row r="23" spans="1:9" ht="18">
      <c r="A23" s="29" t="s">
        <v>0</v>
      </c>
      <c r="B23" s="49">
        <v>3808.5</v>
      </c>
      <c r="C23" s="50">
        <v>24676.2</v>
      </c>
      <c r="D23" s="51">
        <f>96.9+173.9+611.9+463.4+109.9</f>
        <v>1456</v>
      </c>
      <c r="E23" s="1">
        <f>D23/D18*100</f>
        <v>7.025535118025131</v>
      </c>
      <c r="F23" s="1">
        <f t="shared" si="3"/>
        <v>38.230274386241305</v>
      </c>
      <c r="G23" s="1">
        <f t="shared" si="0"/>
        <v>5.900422269231081</v>
      </c>
      <c r="H23" s="1">
        <f t="shared" si="2"/>
        <v>2352.5</v>
      </c>
      <c r="I23" s="1">
        <f t="shared" si="1"/>
        <v>23220.2</v>
      </c>
    </row>
    <row r="24" spans="1:9" ht="18">
      <c r="A24" s="29" t="s">
        <v>15</v>
      </c>
      <c r="B24" s="49">
        <v>237.2</v>
      </c>
      <c r="C24" s="50">
        <v>1528.1</v>
      </c>
      <c r="D24" s="51">
        <f>111</f>
        <v>111</v>
      </c>
      <c r="E24" s="1">
        <f>D24/D18*100</f>
        <v>0.5356005481461467</v>
      </c>
      <c r="F24" s="1">
        <f t="shared" si="3"/>
        <v>46.79595278246206</v>
      </c>
      <c r="G24" s="1">
        <f t="shared" si="0"/>
        <v>7.2639225181598075</v>
      </c>
      <c r="H24" s="1">
        <f t="shared" si="2"/>
        <v>126.19999999999999</v>
      </c>
      <c r="I24" s="1">
        <f t="shared" si="1"/>
        <v>1417.1</v>
      </c>
    </row>
    <row r="25" spans="1:9" ht="18.75" thickBot="1">
      <c r="A25" s="29" t="s">
        <v>35</v>
      </c>
      <c r="B25" s="50">
        <f>B18-B20-B21-B22-B23-B24</f>
        <v>1866.8000000000009</v>
      </c>
      <c r="C25" s="50">
        <f>C18-C20-C21-C22-C23-C24</f>
        <v>14533.600000000015</v>
      </c>
      <c r="D25" s="50">
        <f>D18-D20-D21-D22-D23-D24</f>
        <v>845.1000000000008</v>
      </c>
      <c r="E25" s="1">
        <f>D25/D18*100</f>
        <v>4.077802011155937</v>
      </c>
      <c r="F25" s="1">
        <f t="shared" si="3"/>
        <v>45.26998071566319</v>
      </c>
      <c r="G25" s="1">
        <f t="shared" si="0"/>
        <v>5.814801563274068</v>
      </c>
      <c r="H25" s="1">
        <f t="shared" si="2"/>
        <v>1021.7</v>
      </c>
      <c r="I25" s="1">
        <f t="shared" si="1"/>
        <v>13688.500000000015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6997.8</v>
      </c>
      <c r="C33" s="53">
        <v>41831.7</v>
      </c>
      <c r="D33" s="57">
        <f>1251.6+285.2+60+12.3+10.8+1064.6+3.2+0.1-0.1+22.2+396.9+163.2+73.2+1267+3.8+36.5+85.5</f>
        <v>4735.999999999999</v>
      </c>
      <c r="E33" s="3">
        <f>D33/D142*100</f>
        <v>5.86067531413269</v>
      </c>
      <c r="F33" s="3">
        <f>D33/B33*100</f>
        <v>67.67841321558203</v>
      </c>
      <c r="G33" s="3">
        <f t="shared" si="0"/>
        <v>11.321557574757897</v>
      </c>
      <c r="H33" s="3">
        <f t="shared" si="2"/>
        <v>2261.800000000001</v>
      </c>
      <c r="I33" s="3">
        <f t="shared" si="1"/>
        <v>37095.7</v>
      </c>
    </row>
    <row r="34" spans="1:9" ht="18">
      <c r="A34" s="29" t="s">
        <v>3</v>
      </c>
      <c r="B34" s="49">
        <v>4755.9</v>
      </c>
      <c r="C34" s="50">
        <v>29626.4</v>
      </c>
      <c r="D34" s="51">
        <f>1216.2+1064.6-0.1+1185.2</f>
        <v>3465.9000000000005</v>
      </c>
      <c r="E34" s="1">
        <f>D34/D33*100</f>
        <v>73.18201013513516</v>
      </c>
      <c r="F34" s="1">
        <f t="shared" si="3"/>
        <v>72.87579637923423</v>
      </c>
      <c r="G34" s="1">
        <f t="shared" si="0"/>
        <v>11.69868765695461</v>
      </c>
      <c r="H34" s="1">
        <f t="shared" si="2"/>
        <v>1289.999999999999</v>
      </c>
      <c r="I34" s="1">
        <f t="shared" si="1"/>
        <v>26160.5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579</v>
      </c>
      <c r="C36" s="50">
        <v>2423.5</v>
      </c>
      <c r="D36" s="51">
        <f>6.5+2.8+10.2+0.8+23.6+67.7+80.5+1.3+36.1</f>
        <v>229.50000000000003</v>
      </c>
      <c r="E36" s="1">
        <f>D36/D33*100</f>
        <v>4.845861486486488</v>
      </c>
      <c r="F36" s="1">
        <f t="shared" si="3"/>
        <v>39.63730569948187</v>
      </c>
      <c r="G36" s="1">
        <f t="shared" si="0"/>
        <v>9.469775118630082</v>
      </c>
      <c r="H36" s="1">
        <f t="shared" si="2"/>
        <v>349.5</v>
      </c>
      <c r="I36" s="1">
        <f t="shared" si="1"/>
        <v>2194</v>
      </c>
    </row>
    <row r="37" spans="1:9" s="44" customFormat="1" ht="18.75">
      <c r="A37" s="23" t="s">
        <v>7</v>
      </c>
      <c r="B37" s="58">
        <v>75.3</v>
      </c>
      <c r="C37" s="59">
        <v>493.5</v>
      </c>
      <c r="D37" s="60">
        <f>19+12.3+0.1+11.9</f>
        <v>43.300000000000004</v>
      </c>
      <c r="E37" s="19">
        <f>D37/D33*100</f>
        <v>0.9142736486486489</v>
      </c>
      <c r="F37" s="19">
        <f t="shared" si="3"/>
        <v>57.50332005312085</v>
      </c>
      <c r="G37" s="19">
        <f t="shared" si="0"/>
        <v>8.77406281661601</v>
      </c>
      <c r="H37" s="19">
        <f t="shared" si="2"/>
        <v>31.999999999999993</v>
      </c>
      <c r="I37" s="19">
        <f t="shared" si="1"/>
        <v>450.2</v>
      </c>
    </row>
    <row r="38" spans="1:9" ht="18">
      <c r="A38" s="29" t="s">
        <v>15</v>
      </c>
      <c r="B38" s="49">
        <v>16.8</v>
      </c>
      <c r="C38" s="50">
        <v>47.2</v>
      </c>
      <c r="D38" s="50">
        <f>3.4+3.4</f>
        <v>6.8</v>
      </c>
      <c r="E38" s="1">
        <f>D38/D33*100</f>
        <v>0.1435810810810811</v>
      </c>
      <c r="F38" s="1">
        <f t="shared" si="3"/>
        <v>40.476190476190474</v>
      </c>
      <c r="G38" s="1">
        <f t="shared" si="0"/>
        <v>14.406779661016946</v>
      </c>
      <c r="H38" s="1">
        <f t="shared" si="2"/>
        <v>10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1570.8000000000006</v>
      </c>
      <c r="C39" s="49">
        <f>C33-C34-C36-C37-C35-C38</f>
        <v>9241.099999999995</v>
      </c>
      <c r="D39" s="49">
        <f>D33-D34-D36-D37-D35-D38</f>
        <v>990.4999999999986</v>
      </c>
      <c r="E39" s="1">
        <f>D39/D33*100</f>
        <v>20.914273648648624</v>
      </c>
      <c r="F39" s="1">
        <f t="shared" si="3"/>
        <v>63.05704099821736</v>
      </c>
      <c r="G39" s="1">
        <f t="shared" si="0"/>
        <v>10.718420967200865</v>
      </c>
      <c r="H39" s="1">
        <f>B39-D39</f>
        <v>580.300000000002</v>
      </c>
      <c r="I39" s="1">
        <f t="shared" si="1"/>
        <v>8250.599999999997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126.7</v>
      </c>
      <c r="C43" s="53">
        <v>768.4</v>
      </c>
      <c r="D43" s="54">
        <f>17.7+12.2+11.2</f>
        <v>41.099999999999994</v>
      </c>
      <c r="E43" s="3">
        <f>D43/D142*100</f>
        <v>0.050860167949926864</v>
      </c>
      <c r="F43" s="3">
        <f>D43/B43*100</f>
        <v>32.438831886345696</v>
      </c>
      <c r="G43" s="3">
        <f t="shared" si="0"/>
        <v>5.348776678813118</v>
      </c>
      <c r="H43" s="3">
        <f t="shared" si="2"/>
        <v>85.60000000000001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1093.6</v>
      </c>
      <c r="C45" s="53">
        <v>6659.3</v>
      </c>
      <c r="D45" s="54">
        <f>193+223+8.7+101.1+200.9+9</f>
        <v>735.6999999999999</v>
      </c>
      <c r="E45" s="3">
        <f>D45/D142*100</f>
        <v>0.9104093810404181</v>
      </c>
      <c r="F45" s="3">
        <f>D45/B45*100</f>
        <v>67.27322604242867</v>
      </c>
      <c r="G45" s="3">
        <f aca="true" t="shared" si="4" ref="G45:G75">D45/C45*100</f>
        <v>11.047707717027313</v>
      </c>
      <c r="H45" s="3">
        <f>B45-D45</f>
        <v>357.9</v>
      </c>
      <c r="I45" s="3">
        <f aca="true" t="shared" si="5" ref="I45:I76">C45-D45</f>
        <v>5923.6</v>
      </c>
    </row>
    <row r="46" spans="1:9" ht="18">
      <c r="A46" s="29" t="s">
        <v>3</v>
      </c>
      <c r="B46" s="49">
        <v>895.2</v>
      </c>
      <c r="C46" s="50">
        <v>5755.9</v>
      </c>
      <c r="D46" s="51">
        <f>193+222.7+1.6+196.4</f>
        <v>613.7</v>
      </c>
      <c r="E46" s="1">
        <f>D46/D45*100</f>
        <v>83.41715373114043</v>
      </c>
      <c r="F46" s="1">
        <f aca="true" t="shared" si="6" ref="F46:F73">D46/B46*100</f>
        <v>68.55451295799821</v>
      </c>
      <c r="G46" s="1">
        <f t="shared" si="4"/>
        <v>10.662103233204192</v>
      </c>
      <c r="H46" s="1">
        <f aca="true" t="shared" si="7" ref="H46:H73">B46-D46</f>
        <v>281.5</v>
      </c>
      <c r="I46" s="1">
        <f t="shared" si="5"/>
        <v>5142.2</v>
      </c>
    </row>
    <row r="47" spans="1:9" ht="18">
      <c r="A47" s="29" t="s">
        <v>2</v>
      </c>
      <c r="B47" s="49">
        <v>0</v>
      </c>
      <c r="C47" s="50">
        <v>1.2</v>
      </c>
      <c r="D47" s="51"/>
      <c r="E47" s="1">
        <f>D47/D45*100</f>
        <v>0</v>
      </c>
      <c r="F47" s="117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1.2</v>
      </c>
    </row>
    <row r="48" spans="1:9" ht="18">
      <c r="A48" s="29" t="s">
        <v>1</v>
      </c>
      <c r="B48" s="49">
        <v>7.4</v>
      </c>
      <c r="C48" s="50">
        <v>60.2</v>
      </c>
      <c r="D48" s="51">
        <f>3.8+1</f>
        <v>4.8</v>
      </c>
      <c r="E48" s="1">
        <f>D48/D45*100</f>
        <v>0.652439853201033</v>
      </c>
      <c r="F48" s="1">
        <f t="shared" si="6"/>
        <v>64.86486486486486</v>
      </c>
      <c r="G48" s="1">
        <f t="shared" si="4"/>
        <v>7.973421926910299</v>
      </c>
      <c r="H48" s="1">
        <f t="shared" si="7"/>
        <v>2.6000000000000005</v>
      </c>
      <c r="I48" s="1">
        <f t="shared" si="5"/>
        <v>55.400000000000006</v>
      </c>
    </row>
    <row r="49" spans="1:9" ht="18">
      <c r="A49" s="29" t="s">
        <v>0</v>
      </c>
      <c r="B49" s="49">
        <v>160</v>
      </c>
      <c r="C49" s="50">
        <v>538.3</v>
      </c>
      <c r="D49" s="51">
        <f>4.7+90.3+4.8</f>
        <v>99.8</v>
      </c>
      <c r="E49" s="1">
        <f>D49/D45*100</f>
        <v>13.565311947804812</v>
      </c>
      <c r="F49" s="1">
        <f t="shared" si="6"/>
        <v>62.375</v>
      </c>
      <c r="G49" s="1">
        <f t="shared" si="4"/>
        <v>18.53984766858629</v>
      </c>
      <c r="H49" s="1">
        <f t="shared" si="7"/>
        <v>60.2</v>
      </c>
      <c r="I49" s="1">
        <f t="shared" si="5"/>
        <v>438.49999999999994</v>
      </c>
    </row>
    <row r="50" spans="1:9" ht="18.75" thickBot="1">
      <c r="A50" s="29" t="s">
        <v>35</v>
      </c>
      <c r="B50" s="50">
        <f>B45-B46-B49-B48-B47</f>
        <v>30.999999999999865</v>
      </c>
      <c r="C50" s="50">
        <f>C45-C46-C49-C48-C47</f>
        <v>303.7000000000006</v>
      </c>
      <c r="D50" s="50">
        <f>D45-D46-D49-D48-D47</f>
        <v>17.39999999999989</v>
      </c>
      <c r="E50" s="1">
        <f>D50/D45*100</f>
        <v>2.36509446785373</v>
      </c>
      <c r="F50" s="1">
        <f t="shared" si="6"/>
        <v>56.129032258064406</v>
      </c>
      <c r="G50" s="1">
        <f t="shared" si="4"/>
        <v>5.729338162660472</v>
      </c>
      <c r="H50" s="1">
        <f t="shared" si="7"/>
        <v>13.599999999999977</v>
      </c>
      <c r="I50" s="1">
        <f t="shared" si="5"/>
        <v>286.30000000000075</v>
      </c>
    </row>
    <row r="51" spans="1:9" ht="18.75" thickBot="1">
      <c r="A51" s="28" t="s">
        <v>4</v>
      </c>
      <c r="B51" s="52">
        <v>2342.4</v>
      </c>
      <c r="C51" s="53">
        <v>13881</v>
      </c>
      <c r="D51" s="54">
        <f>260.4+84.2+35.2+27.7+429.5+47.7+9.2+7.6+47.3+0.3+0.2+338.5+6.8+0.3+85+62.8+1.5</f>
        <v>1444.2</v>
      </c>
      <c r="E51" s="3">
        <f>D51/D142*100</f>
        <v>1.7871594781821014</v>
      </c>
      <c r="F51" s="3">
        <f>D51/B51*100</f>
        <v>61.6547131147541</v>
      </c>
      <c r="G51" s="3">
        <f t="shared" si="4"/>
        <v>10.404149556948347</v>
      </c>
      <c r="H51" s="3">
        <f>B51-D51</f>
        <v>898.2</v>
      </c>
      <c r="I51" s="3">
        <f t="shared" si="5"/>
        <v>12436.8</v>
      </c>
    </row>
    <row r="52" spans="1:9" ht="18">
      <c r="A52" s="29" t="s">
        <v>3</v>
      </c>
      <c r="B52" s="49">
        <v>1346</v>
      </c>
      <c r="C52" s="50">
        <v>8729.1</v>
      </c>
      <c r="D52" s="51">
        <f>260.4+390.2+0.1+271.7</f>
        <v>922.3999999999999</v>
      </c>
      <c r="E52" s="1">
        <f>D52/D51*100</f>
        <v>63.869270184185</v>
      </c>
      <c r="F52" s="1">
        <f t="shared" si="6"/>
        <v>68.52897473997027</v>
      </c>
      <c r="G52" s="1">
        <f t="shared" si="4"/>
        <v>10.566954210628813</v>
      </c>
      <c r="H52" s="1">
        <f t="shared" si="7"/>
        <v>423.60000000000014</v>
      </c>
      <c r="I52" s="1">
        <f t="shared" si="5"/>
        <v>7806.700000000001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15.4</v>
      </c>
      <c r="C54" s="50">
        <v>189.7</v>
      </c>
      <c r="D54" s="51">
        <f>1.7+1.5</f>
        <v>3.2</v>
      </c>
      <c r="E54" s="1">
        <f>D54/D51*100</f>
        <v>0.2215759590084476</v>
      </c>
      <c r="F54" s="1">
        <f t="shared" si="6"/>
        <v>20.77922077922078</v>
      </c>
      <c r="G54" s="1">
        <f t="shared" si="4"/>
        <v>1.686874011597259</v>
      </c>
      <c r="H54" s="1">
        <f t="shared" si="7"/>
        <v>12.2</v>
      </c>
      <c r="I54" s="1">
        <f t="shared" si="5"/>
        <v>186.5</v>
      </c>
    </row>
    <row r="55" spans="1:9" ht="18">
      <c r="A55" s="29" t="s">
        <v>0</v>
      </c>
      <c r="B55" s="49">
        <v>125.2</v>
      </c>
      <c r="C55" s="50">
        <v>709.9</v>
      </c>
      <c r="D55" s="51">
        <f>1.1+7.6+5.9+0.3+0.2+6.8+0.3+67.1+16.4</f>
        <v>105.69999999999999</v>
      </c>
      <c r="E55" s="1">
        <f>D55/D51*100</f>
        <v>7.318930895997783</v>
      </c>
      <c r="F55" s="1">
        <f t="shared" si="6"/>
        <v>84.42492012779552</v>
      </c>
      <c r="G55" s="1">
        <f t="shared" si="4"/>
        <v>14.889421045217635</v>
      </c>
      <c r="H55" s="1">
        <f t="shared" si="7"/>
        <v>19.500000000000014</v>
      </c>
      <c r="I55" s="1">
        <f t="shared" si="5"/>
        <v>604.2</v>
      </c>
    </row>
    <row r="56" spans="1:9" ht="18.75" thickBot="1">
      <c r="A56" s="29" t="s">
        <v>35</v>
      </c>
      <c r="B56" s="50">
        <f>B51-B52-B55-B54-B53</f>
        <v>855.8000000000001</v>
      </c>
      <c r="C56" s="50">
        <f>C51-C52-C55-C54-C53</f>
        <v>4241.400000000001</v>
      </c>
      <c r="D56" s="50">
        <f>D51-D52-D55-D54-D53</f>
        <v>412.9000000000002</v>
      </c>
      <c r="E56" s="1">
        <f>D56/D51*100</f>
        <v>28.590222960808763</v>
      </c>
      <c r="F56" s="1">
        <f t="shared" si="6"/>
        <v>48.24725403131575</v>
      </c>
      <c r="G56" s="1">
        <f t="shared" si="4"/>
        <v>9.734993162634982</v>
      </c>
      <c r="H56" s="1">
        <f t="shared" si="7"/>
        <v>442.89999999999986</v>
      </c>
      <c r="I56" s="1">
        <f>C56-D56</f>
        <v>3828.5000000000005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358.5</v>
      </c>
      <c r="C58" s="53">
        <v>3033.3</v>
      </c>
      <c r="D58" s="54">
        <f>36.1+65.6+6.5+0.4+1.3+60.3+3+39.2+0.1+14.1</f>
        <v>226.59999999999997</v>
      </c>
      <c r="E58" s="3">
        <f>D58/D142*100</f>
        <v>0.2804115342446089</v>
      </c>
      <c r="F58" s="3">
        <f>D58/B58*100</f>
        <v>63.20781032078102</v>
      </c>
      <c r="G58" s="3">
        <f t="shared" si="4"/>
        <v>7.470411762766623</v>
      </c>
      <c r="H58" s="3">
        <f>B58-D58</f>
        <v>131.90000000000003</v>
      </c>
      <c r="I58" s="3">
        <f t="shared" si="5"/>
        <v>2806.7000000000003</v>
      </c>
    </row>
    <row r="59" spans="1:9" ht="18">
      <c r="A59" s="29" t="s">
        <v>3</v>
      </c>
      <c r="B59" s="49">
        <v>214.9</v>
      </c>
      <c r="C59" s="50">
        <v>1426.1</v>
      </c>
      <c r="D59" s="51">
        <f>36.1+65.6+39.2</f>
        <v>140.89999999999998</v>
      </c>
      <c r="E59" s="1">
        <f>D59/D58*100</f>
        <v>62.180052956751986</v>
      </c>
      <c r="F59" s="1">
        <f t="shared" si="6"/>
        <v>65.56537924616099</v>
      </c>
      <c r="G59" s="1">
        <f t="shared" si="4"/>
        <v>9.880092560129022</v>
      </c>
      <c r="H59" s="1">
        <f t="shared" si="7"/>
        <v>74.00000000000003</v>
      </c>
      <c r="I59" s="1">
        <f t="shared" si="5"/>
        <v>1285.1999999999998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84.7</v>
      </c>
      <c r="C61" s="50">
        <v>420.8</v>
      </c>
      <c r="D61" s="51">
        <f>1.3+56.1</f>
        <v>57.4</v>
      </c>
      <c r="E61" s="1">
        <f>D61/D58*100</f>
        <v>25.330979699911744</v>
      </c>
      <c r="F61" s="1">
        <f t="shared" si="6"/>
        <v>67.76859504132231</v>
      </c>
      <c r="G61" s="1">
        <f t="shared" si="4"/>
        <v>13.640684410646386</v>
      </c>
      <c r="H61" s="1">
        <f t="shared" si="7"/>
        <v>27.300000000000004</v>
      </c>
      <c r="I61" s="1">
        <f t="shared" si="5"/>
        <v>363.40000000000003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58.89999999999999</v>
      </c>
      <c r="C63" s="50">
        <f>C58-C59-C61-C62-C60</f>
        <v>457.50000000000034</v>
      </c>
      <c r="D63" s="50">
        <f>D58-D59-D61-D62-D60</f>
        <v>28.29999999999999</v>
      </c>
      <c r="E63" s="1">
        <f>D63/D58*100</f>
        <v>12.488967343336272</v>
      </c>
      <c r="F63" s="1">
        <f t="shared" si="6"/>
        <v>48.04753820033955</v>
      </c>
      <c r="G63" s="1">
        <f t="shared" si="4"/>
        <v>6.1857923497267695</v>
      </c>
      <c r="H63" s="1">
        <f t="shared" si="7"/>
        <v>30.6</v>
      </c>
      <c r="I63" s="1">
        <f t="shared" si="5"/>
        <v>429.20000000000033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104.9</v>
      </c>
      <c r="C68" s="53">
        <f>C69+C70</f>
        <v>390.6</v>
      </c>
      <c r="D68" s="54">
        <f>SUM(D69:D70)</f>
        <v>0.2</v>
      </c>
      <c r="E68" s="42">
        <f>D68/D142*100</f>
        <v>0.00024749473454952246</v>
      </c>
      <c r="F68" s="112">
        <f>D68/B68*100</f>
        <v>0.19065776930409914</v>
      </c>
      <c r="G68" s="3">
        <f t="shared" si="4"/>
        <v>0.051203277009728626</v>
      </c>
      <c r="H68" s="3">
        <f>B68-D68</f>
        <v>104.7</v>
      </c>
      <c r="I68" s="3">
        <f t="shared" si="5"/>
        <v>390.40000000000003</v>
      </c>
    </row>
    <row r="69" spans="1:9" ht="18">
      <c r="A69" s="29" t="s">
        <v>8</v>
      </c>
      <c r="B69" s="49">
        <v>104.9</v>
      </c>
      <c r="C69" s="50">
        <v>390.6</v>
      </c>
      <c r="D69" s="51">
        <f>0.2</f>
        <v>0.2</v>
      </c>
      <c r="E69" s="1">
        <f>D69/D68*100</f>
        <v>100</v>
      </c>
      <c r="F69" s="1">
        <f t="shared" si="6"/>
        <v>0.19065776930409914</v>
      </c>
      <c r="G69" s="1">
        <f t="shared" si="4"/>
        <v>0.051203277009728626</v>
      </c>
      <c r="H69" s="1">
        <f t="shared" si="7"/>
        <v>104.7</v>
      </c>
      <c r="I69" s="1">
        <f t="shared" si="5"/>
        <v>390.40000000000003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7" t="e">
        <f t="shared" si="6"/>
        <v>#DIV/0!</v>
      </c>
      <c r="G70" s="117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1666.7</v>
      </c>
      <c r="C76" s="69">
        <v>10000</v>
      </c>
      <c r="D76" s="70"/>
      <c r="E76" s="48"/>
      <c r="F76" s="48"/>
      <c r="G76" s="48"/>
      <c r="H76" s="48">
        <f>B76-D76</f>
        <v>1666.7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8070.4</v>
      </c>
      <c r="C89" s="53">
        <v>47925.9</v>
      </c>
      <c r="D89" s="54">
        <f>1173.8+37.3+101.8+9.7+15.1+2.5+6.1+25.2+161.9+1262.3+173.1+14.9+67.5+0.1+74.5+11.5+2+20+14.7+81.5+461.2+565+206.1+3.2+46+0.8+6.5+50.6+455</f>
        <v>5049.9</v>
      </c>
      <c r="E89" s="3">
        <f>D89/D142*100</f>
        <v>6.249118300008167</v>
      </c>
      <c r="F89" s="3">
        <f aca="true" t="shared" si="10" ref="F89:F95">D89/B89*100</f>
        <v>62.57310666137985</v>
      </c>
      <c r="G89" s="3">
        <f t="shared" si="8"/>
        <v>10.536891325984488</v>
      </c>
      <c r="H89" s="3">
        <f aca="true" t="shared" si="11" ref="H89:H95">B89-D89</f>
        <v>3020.5</v>
      </c>
      <c r="I89" s="3">
        <f t="shared" si="9"/>
        <v>42876</v>
      </c>
    </row>
    <row r="90" spans="1:9" ht="18">
      <c r="A90" s="29" t="s">
        <v>3</v>
      </c>
      <c r="B90" s="49">
        <v>6417.6</v>
      </c>
      <c r="C90" s="50">
        <v>39638</v>
      </c>
      <c r="D90" s="51">
        <f>1167.3+36.1+0.8+0.4+161.9+1233.6+154.1+3-0.1+4.3+0.5+8.4+3.9+81.5+433.3+525.7+205+5.2+9.3+444.2</f>
        <v>4478.400000000001</v>
      </c>
      <c r="E90" s="1">
        <f>D90/D89*100</f>
        <v>88.68294421671717</v>
      </c>
      <c r="F90" s="1">
        <f t="shared" si="10"/>
        <v>69.78309648466717</v>
      </c>
      <c r="G90" s="1">
        <f t="shared" si="8"/>
        <v>11.298249154851407</v>
      </c>
      <c r="H90" s="1">
        <f t="shared" si="11"/>
        <v>1939.1999999999998</v>
      </c>
      <c r="I90" s="1">
        <f t="shared" si="9"/>
        <v>35159.6</v>
      </c>
    </row>
    <row r="91" spans="1:9" ht="18">
      <c r="A91" s="29" t="s">
        <v>33</v>
      </c>
      <c r="B91" s="49">
        <v>579.9</v>
      </c>
      <c r="C91" s="50">
        <v>2406.5</v>
      </c>
      <c r="D91" s="51">
        <f>15.4+0.6+1.6+3.7</f>
        <v>21.3</v>
      </c>
      <c r="E91" s="1">
        <f>D91/D89*100</f>
        <v>0.4217905305055546</v>
      </c>
      <c r="F91" s="1">
        <f t="shared" si="10"/>
        <v>3.673047077082256</v>
      </c>
      <c r="G91" s="1">
        <f t="shared" si="8"/>
        <v>0.8851028464575109</v>
      </c>
      <c r="H91" s="1">
        <f t="shared" si="11"/>
        <v>558.6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1072.8999999999992</v>
      </c>
      <c r="C93" s="127">
        <f>C89-C90-C91-C92</f>
        <v>5881.4000000000015</v>
      </c>
      <c r="D93" s="127">
        <f>D89-D90-D91-D92</f>
        <v>550.1999999999991</v>
      </c>
      <c r="E93" s="128">
        <f>D93/D89*100</f>
        <v>10.895265252777268</v>
      </c>
      <c r="F93" s="128">
        <f t="shared" si="10"/>
        <v>51.281573305993064</v>
      </c>
      <c r="G93" s="128">
        <f>D93/C93*100</f>
        <v>9.354915496310385</v>
      </c>
      <c r="H93" s="128">
        <f t="shared" si="11"/>
        <v>522.7</v>
      </c>
      <c r="I93" s="128">
        <f>C93-D93</f>
        <v>5331.200000000003</v>
      </c>
    </row>
    <row r="94" spans="1:9" ht="18.75">
      <c r="A94" s="135" t="s">
        <v>12</v>
      </c>
      <c r="B94" s="140">
        <v>10260.3</v>
      </c>
      <c r="C94" s="142">
        <v>48638.3</v>
      </c>
      <c r="D94" s="141">
        <f>3479.6+8.1+4.1+53.2+1101.8+1997.1+228.6+3048.1</f>
        <v>9920.6</v>
      </c>
      <c r="E94" s="134">
        <f>D94/D142*100</f>
        <v>12.276481317859963</v>
      </c>
      <c r="F94" s="138">
        <f t="shared" si="10"/>
        <v>96.68918062824675</v>
      </c>
      <c r="G94" s="125">
        <f>D94/C94*100</f>
        <v>20.39668327223608</v>
      </c>
      <c r="H94" s="139">
        <f t="shared" si="11"/>
        <v>339.6999999999989</v>
      </c>
      <c r="I94" s="134">
        <f>C94-D94</f>
        <v>38717.700000000004</v>
      </c>
    </row>
    <row r="95" spans="1:9" ht="18.75" thickBot="1">
      <c r="A95" s="136" t="s">
        <v>115</v>
      </c>
      <c r="B95" s="143">
        <v>714</v>
      </c>
      <c r="C95" s="144">
        <v>4853.7</v>
      </c>
      <c r="D95" s="145">
        <f>600+69</f>
        <v>669</v>
      </c>
      <c r="E95" s="146">
        <f>D95/D94*100</f>
        <v>6.743543737273955</v>
      </c>
      <c r="F95" s="147">
        <f t="shared" si="10"/>
        <v>93.69747899159664</v>
      </c>
      <c r="G95" s="148">
        <f>D95/C95*100</f>
        <v>13.783299338648867</v>
      </c>
      <c r="H95" s="137">
        <f t="shared" si="11"/>
        <v>45</v>
      </c>
      <c r="I95" s="96">
        <f>C95-D95</f>
        <v>4184.7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1021.3</v>
      </c>
      <c r="C101" s="105">
        <v>6061.2</v>
      </c>
      <c r="D101" s="90">
        <f>110.5+80.7+66.2+55.7+33+106.8+21.7+2.2+3.9+0.4</f>
        <v>481.0999999999999</v>
      </c>
      <c r="E101" s="25">
        <f>D101/D142*100</f>
        <v>0.5953485839588761</v>
      </c>
      <c r="F101" s="25">
        <f>D101/B101*100</f>
        <v>47.10662880642318</v>
      </c>
      <c r="G101" s="25">
        <f aca="true" t="shared" si="12" ref="G101:G140">D101/C101*100</f>
        <v>7.937372137530521</v>
      </c>
      <c r="H101" s="25">
        <f aca="true" t="shared" si="13" ref="H101:H106">B101-D101</f>
        <v>540.2</v>
      </c>
      <c r="I101" s="25">
        <f aca="true" t="shared" si="14" ref="I101:I140">C101-D101</f>
        <v>5580.1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923</v>
      </c>
      <c r="C103" s="51">
        <v>5036.9</v>
      </c>
      <c r="D103" s="51">
        <f>110.3+80.7+66.2+32.9+19.7+106.6+21.7+3.9</f>
        <v>441.99999999999994</v>
      </c>
      <c r="E103" s="1">
        <f>D103/D101*100</f>
        <v>91.87279151943464</v>
      </c>
      <c r="F103" s="1">
        <f aca="true" t="shared" si="15" ref="F103:F140">D103/B103*100</f>
        <v>47.88732394366196</v>
      </c>
      <c r="G103" s="1">
        <f t="shared" si="12"/>
        <v>8.775238738112726</v>
      </c>
      <c r="H103" s="1">
        <f t="shared" si="13"/>
        <v>481.00000000000006</v>
      </c>
      <c r="I103" s="1">
        <f t="shared" si="14"/>
        <v>4594.9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98.29999999999995</v>
      </c>
      <c r="C105" s="100">
        <f>C101-C102-C103</f>
        <v>1024.3000000000002</v>
      </c>
      <c r="D105" s="100">
        <f>D101-D102-D103</f>
        <v>39.099999999999966</v>
      </c>
      <c r="E105" s="96">
        <f>D105/D101*100</f>
        <v>8.127208480565365</v>
      </c>
      <c r="F105" s="96">
        <f t="shared" si="15"/>
        <v>39.77619532044759</v>
      </c>
      <c r="G105" s="96">
        <f t="shared" si="12"/>
        <v>3.8172410426632783</v>
      </c>
      <c r="H105" s="96">
        <f>B105-D105</f>
        <v>59.19999999999999</v>
      </c>
      <c r="I105" s="96">
        <f t="shared" si="14"/>
        <v>985.2000000000003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33636.4</v>
      </c>
      <c r="C106" s="93">
        <f>SUM(C107:C139)-C114-C118+C140-C133-C134-C108-C111-C121-C122</f>
        <v>149465.6</v>
      </c>
      <c r="D106" s="93">
        <f>SUM(D107:D139)-D114-D118+D140-D133-D134-D108-D111-D121-D122</f>
        <v>5896.8</v>
      </c>
      <c r="E106" s="94">
        <f>D106/D142*100</f>
        <v>7.297134753458121</v>
      </c>
      <c r="F106" s="94">
        <f>D106/B106*100</f>
        <v>17.531008074585866</v>
      </c>
      <c r="G106" s="94">
        <f t="shared" si="12"/>
        <v>3.94525563072707</v>
      </c>
      <c r="H106" s="94">
        <f t="shared" si="13"/>
        <v>27739.600000000002</v>
      </c>
      <c r="I106" s="94">
        <f t="shared" si="14"/>
        <v>143568.80000000002</v>
      </c>
    </row>
    <row r="107" spans="1:9" ht="37.5">
      <c r="A107" s="34" t="s">
        <v>68</v>
      </c>
      <c r="B107" s="78">
        <v>362.8</v>
      </c>
      <c r="C107" s="74">
        <v>1662.5</v>
      </c>
      <c r="D107" s="79">
        <f>114.2+9</f>
        <v>123.2</v>
      </c>
      <c r="E107" s="6">
        <f>D107/D106*100</f>
        <v>2.089268755935423</v>
      </c>
      <c r="F107" s="6">
        <f t="shared" si="15"/>
        <v>33.95810363836825</v>
      </c>
      <c r="G107" s="6">
        <f t="shared" si="12"/>
        <v>7.4105263157894745</v>
      </c>
      <c r="H107" s="6">
        <f aca="true" t="shared" si="16" ref="H107:H140">B107-D107</f>
        <v>239.60000000000002</v>
      </c>
      <c r="I107" s="6">
        <f t="shared" si="14"/>
        <v>1539.3</v>
      </c>
    </row>
    <row r="108" spans="1:9" ht="18">
      <c r="A108" s="29" t="s">
        <v>33</v>
      </c>
      <c r="B108" s="81">
        <v>219.7</v>
      </c>
      <c r="C108" s="51">
        <v>823.7</v>
      </c>
      <c r="D108" s="82">
        <f>96.8</f>
        <v>96.8</v>
      </c>
      <c r="E108" s="1"/>
      <c r="F108" s="1">
        <f t="shared" si="15"/>
        <v>44.06008192990441</v>
      </c>
      <c r="G108" s="1">
        <f t="shared" si="12"/>
        <v>11.75185140220954</v>
      </c>
      <c r="H108" s="1">
        <f t="shared" si="16"/>
        <v>122.89999999999999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151</v>
      </c>
      <c r="C109" s="68">
        <v>903.8</v>
      </c>
      <c r="D109" s="79">
        <f>20.7</f>
        <v>20.7</v>
      </c>
      <c r="E109" s="6">
        <f>D109/D106*100</f>
        <v>0.351037851037851</v>
      </c>
      <c r="F109" s="6">
        <f>D109/B109*100</f>
        <v>13.708609271523178</v>
      </c>
      <c r="G109" s="6">
        <f t="shared" si="12"/>
        <v>2.2903297189643728</v>
      </c>
      <c r="H109" s="6">
        <f t="shared" si="16"/>
        <v>130.3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15.1</v>
      </c>
      <c r="C110" s="60">
        <v>71.8</v>
      </c>
      <c r="D110" s="83">
        <f>5.3+5.3</f>
        <v>10.6</v>
      </c>
      <c r="E110" s="6">
        <f>D110/D106*100</f>
        <v>0.17975851309184643</v>
      </c>
      <c r="F110" s="6">
        <f t="shared" si="15"/>
        <v>70.19867549668875</v>
      </c>
      <c r="G110" s="6">
        <f t="shared" si="12"/>
        <v>14.763231197771587</v>
      </c>
      <c r="H110" s="6">
        <f t="shared" si="16"/>
        <v>4.5</v>
      </c>
      <c r="I110" s="6">
        <f t="shared" si="14"/>
        <v>61.199999999999996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11.1</v>
      </c>
      <c r="C112" s="68">
        <v>67.4</v>
      </c>
      <c r="D112" s="79">
        <f>5.5+5.4</f>
        <v>10.9</v>
      </c>
      <c r="E112" s="6">
        <f>D112/D106*100</f>
        <v>0.1848460181793515</v>
      </c>
      <c r="F112" s="6">
        <f t="shared" si="15"/>
        <v>98.1981981981982</v>
      </c>
      <c r="G112" s="6">
        <f t="shared" si="12"/>
        <v>16.172106824925816</v>
      </c>
      <c r="H112" s="6">
        <f t="shared" si="16"/>
        <v>0.1999999999999993</v>
      </c>
      <c r="I112" s="6">
        <f t="shared" si="14"/>
        <v>56.50000000000001</v>
      </c>
    </row>
    <row r="113" spans="1:9" ht="37.5">
      <c r="A113" s="17" t="s">
        <v>47</v>
      </c>
      <c r="B113" s="80">
        <v>266.8</v>
      </c>
      <c r="C113" s="68">
        <v>1532.5</v>
      </c>
      <c r="D113" s="79">
        <f>96.4+0.6</f>
        <v>97</v>
      </c>
      <c r="E113" s="6">
        <f>D113/D106*100</f>
        <v>1.6449599782933118</v>
      </c>
      <c r="F113" s="6">
        <f t="shared" si="15"/>
        <v>36.356821589205396</v>
      </c>
      <c r="G113" s="6">
        <f t="shared" si="12"/>
        <v>6.329526916802609</v>
      </c>
      <c r="H113" s="6">
        <f t="shared" si="16"/>
        <v>169.8</v>
      </c>
      <c r="I113" s="6">
        <f t="shared" si="14"/>
        <v>1435.5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90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90</v>
      </c>
      <c r="I116" s="6">
        <f t="shared" si="14"/>
        <v>245.2</v>
      </c>
    </row>
    <row r="117" spans="1:9" s="2" customFormat="1" ht="18.75">
      <c r="A117" s="17" t="s">
        <v>16</v>
      </c>
      <c r="B117" s="80">
        <v>39.9</v>
      </c>
      <c r="C117" s="60">
        <v>199.6</v>
      </c>
      <c r="D117" s="79">
        <f>1.6+18.3</f>
        <v>19.900000000000002</v>
      </c>
      <c r="E117" s="6">
        <f>D117/D106*100</f>
        <v>0.3374711708045042</v>
      </c>
      <c r="F117" s="6">
        <f t="shared" si="15"/>
        <v>49.87468671679199</v>
      </c>
      <c r="G117" s="6">
        <f t="shared" si="12"/>
        <v>9.96993987975952</v>
      </c>
      <c r="H117" s="6">
        <f t="shared" si="16"/>
        <v>19.999999999999996</v>
      </c>
      <c r="I117" s="6">
        <f t="shared" si="14"/>
        <v>179.7</v>
      </c>
    </row>
    <row r="118" spans="1:9" s="39" customFormat="1" ht="18">
      <c r="A118" s="40" t="s">
        <v>54</v>
      </c>
      <c r="B118" s="81">
        <v>33.4</v>
      </c>
      <c r="C118" s="51">
        <v>150.8</v>
      </c>
      <c r="D118" s="82">
        <f>16.7</f>
        <v>16.7</v>
      </c>
      <c r="E118" s="1"/>
      <c r="F118" s="1">
        <f t="shared" si="15"/>
        <v>50</v>
      </c>
      <c r="G118" s="1">
        <f t="shared" si="12"/>
        <v>11.074270557029177</v>
      </c>
      <c r="H118" s="1">
        <f t="shared" si="16"/>
        <v>16.7</v>
      </c>
      <c r="I118" s="1">
        <f t="shared" si="14"/>
        <v>134.10000000000002</v>
      </c>
    </row>
    <row r="119" spans="1:9" s="2" customFormat="1" ht="18.75">
      <c r="A119" s="17" t="s">
        <v>25</v>
      </c>
      <c r="B119" s="80">
        <v>27.9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27.9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120</v>
      </c>
      <c r="C120" s="60">
        <v>628</v>
      </c>
      <c r="D120" s="83">
        <f>110.6</f>
        <v>110.6</v>
      </c>
      <c r="E120" s="19">
        <f>D120/D106*100</f>
        <v>1.8755935422602086</v>
      </c>
      <c r="F120" s="6">
        <f t="shared" si="15"/>
        <v>92.16666666666666</v>
      </c>
      <c r="G120" s="6">
        <f t="shared" si="12"/>
        <v>17.611464968152866</v>
      </c>
      <c r="H120" s="6">
        <f t="shared" si="16"/>
        <v>9.400000000000006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283.4</v>
      </c>
      <c r="C123" s="60">
        <v>2933.8</v>
      </c>
      <c r="D123" s="83">
        <f>21+0.9+174.2</f>
        <v>196.1</v>
      </c>
      <c r="E123" s="19">
        <f>D123/D106*100</f>
        <v>3.325532492199159</v>
      </c>
      <c r="F123" s="6">
        <f t="shared" si="15"/>
        <v>69.1954834156669</v>
      </c>
      <c r="G123" s="6">
        <f t="shared" si="12"/>
        <v>6.684163883018609</v>
      </c>
      <c r="H123" s="6">
        <f t="shared" si="16"/>
        <v>87.29999999999998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/>
      <c r="E125" s="19">
        <f>D125/D106*100</f>
        <v>0</v>
      </c>
      <c r="F125" s="6">
        <f t="shared" si="15"/>
        <v>0</v>
      </c>
      <c r="G125" s="6">
        <f t="shared" si="12"/>
        <v>0</v>
      </c>
      <c r="H125" s="6">
        <f t="shared" si="16"/>
        <v>2</v>
      </c>
      <c r="I125" s="6">
        <f t="shared" si="14"/>
        <v>2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52</v>
      </c>
      <c r="C127" s="60">
        <v>101.4</v>
      </c>
      <c r="D127" s="83">
        <f>3+3+4.9</f>
        <v>10.9</v>
      </c>
      <c r="E127" s="19">
        <f>D127/D106*100</f>
        <v>0.1848460181793515</v>
      </c>
      <c r="F127" s="6">
        <f t="shared" si="15"/>
        <v>20.961538461538463</v>
      </c>
      <c r="G127" s="6">
        <f t="shared" si="12"/>
        <v>10.749506903353057</v>
      </c>
      <c r="H127" s="6">
        <f t="shared" si="16"/>
        <v>41.1</v>
      </c>
      <c r="I127" s="6">
        <f t="shared" si="14"/>
        <v>90.5</v>
      </c>
    </row>
    <row r="128" spans="1:9" s="2" customFormat="1" ht="18.75">
      <c r="A128" s="17" t="s">
        <v>73</v>
      </c>
      <c r="B128" s="80">
        <v>0</v>
      </c>
      <c r="C128" s="60">
        <v>650</v>
      </c>
      <c r="D128" s="83"/>
      <c r="E128" s="19">
        <f>D128/D106*100</f>
        <v>0</v>
      </c>
      <c r="F128" s="118" t="e">
        <f t="shared" si="15"/>
        <v>#DIV/0!</v>
      </c>
      <c r="G128" s="6">
        <f t="shared" si="12"/>
        <v>0</v>
      </c>
      <c r="H128" s="6">
        <f t="shared" si="16"/>
        <v>0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139.9</v>
      </c>
      <c r="C129" s="60">
        <v>171.5</v>
      </c>
      <c r="D129" s="83">
        <f>5.6+5.6</f>
        <v>11.2</v>
      </c>
      <c r="E129" s="19">
        <f>D129/D106*100</f>
        <v>0.18993352326685659</v>
      </c>
      <c r="F129" s="6">
        <f t="shared" si="15"/>
        <v>8.005718370264473</v>
      </c>
      <c r="G129" s="6">
        <f t="shared" si="12"/>
        <v>6.530612244897958</v>
      </c>
      <c r="H129" s="6">
        <f t="shared" si="16"/>
        <v>128.70000000000002</v>
      </c>
      <c r="I129" s="6">
        <f t="shared" si="14"/>
        <v>160.3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113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155</v>
      </c>
      <c r="C132" s="60">
        <v>981.9</v>
      </c>
      <c r="D132" s="83">
        <f>21.9+41.8+0.1+6.1+26+3.6+0.1</f>
        <v>99.59999999999998</v>
      </c>
      <c r="E132" s="19">
        <f>D132/D106*100</f>
        <v>1.6890516890516887</v>
      </c>
      <c r="F132" s="6">
        <f t="shared" si="15"/>
        <v>64.25806451612902</v>
      </c>
      <c r="G132" s="6">
        <f t="shared" si="12"/>
        <v>10.143599144515733</v>
      </c>
      <c r="H132" s="6">
        <f t="shared" si="16"/>
        <v>55.40000000000002</v>
      </c>
      <c r="I132" s="6">
        <f t="shared" si="14"/>
        <v>882.3</v>
      </c>
    </row>
    <row r="133" spans="1:9" s="39" customFormat="1" ht="18">
      <c r="A133" s="40" t="s">
        <v>54</v>
      </c>
      <c r="B133" s="81">
        <v>130.5</v>
      </c>
      <c r="C133" s="51">
        <v>848.7</v>
      </c>
      <c r="D133" s="82">
        <f>21.9+39.7+0.1+6.1+19</f>
        <v>86.8</v>
      </c>
      <c r="E133" s="1">
        <f>D133/D132*100</f>
        <v>87.14859437751005</v>
      </c>
      <c r="F133" s="1">
        <f aca="true" t="shared" si="17" ref="F133:F139">D133/B133*100</f>
        <v>66.51340996168582</v>
      </c>
      <c r="G133" s="1">
        <f t="shared" si="12"/>
        <v>10.227406621892305</v>
      </c>
      <c r="H133" s="1">
        <f t="shared" si="16"/>
        <v>43.7</v>
      </c>
      <c r="I133" s="1">
        <f t="shared" si="14"/>
        <v>761.9000000000001</v>
      </c>
    </row>
    <row r="134" spans="1:9" s="39" customFormat="1" ht="18">
      <c r="A134" s="29" t="s">
        <v>33</v>
      </c>
      <c r="B134" s="81">
        <v>13.4</v>
      </c>
      <c r="C134" s="51">
        <v>26.3</v>
      </c>
      <c r="D134" s="82">
        <f>7</f>
        <v>7</v>
      </c>
      <c r="E134" s="1">
        <f>D134/D132*100</f>
        <v>7.028112449799198</v>
      </c>
      <c r="F134" s="1">
        <f t="shared" si="17"/>
        <v>52.23880597014925</v>
      </c>
      <c r="G134" s="1">
        <f>D134/C134*100</f>
        <v>26.61596958174905</v>
      </c>
      <c r="H134" s="1">
        <f t="shared" si="16"/>
        <v>6.4</v>
      </c>
      <c r="I134" s="1">
        <f t="shared" si="14"/>
        <v>19.3</v>
      </c>
    </row>
    <row r="135" spans="1:9" s="2" customFormat="1" ht="18.75">
      <c r="A135" s="124" t="s">
        <v>114</v>
      </c>
      <c r="B135" s="80">
        <v>700</v>
      </c>
      <c r="C135" s="60">
        <v>6500</v>
      </c>
      <c r="D135" s="83"/>
      <c r="E135" s="19">
        <f>D135/D106*100</f>
        <v>0</v>
      </c>
      <c r="F135" s="113">
        <f t="shared" si="17"/>
        <v>0</v>
      </c>
      <c r="G135" s="6">
        <f t="shared" si="12"/>
        <v>0</v>
      </c>
      <c r="H135" s="6">
        <f t="shared" si="16"/>
        <v>700</v>
      </c>
      <c r="I135" s="6">
        <f t="shared" si="14"/>
        <v>6500</v>
      </c>
    </row>
    <row r="136" spans="1:9" s="2" customFormat="1" ht="18.75">
      <c r="A136" s="124" t="s">
        <v>26</v>
      </c>
      <c r="B136" s="80">
        <v>1258.9</v>
      </c>
      <c r="C136" s="60">
        <v>6082.6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1258.9</v>
      </c>
      <c r="I136" s="6">
        <f t="shared" si="14"/>
        <v>6082.6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35.51078551078551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21384.7</v>
      </c>
      <c r="C139" s="60">
        <v>91632.1</v>
      </c>
      <c r="D139" s="83"/>
      <c r="E139" s="19">
        <f>D139/D106*100</f>
        <v>0</v>
      </c>
      <c r="F139" s="6">
        <f t="shared" si="17"/>
        <v>0</v>
      </c>
      <c r="G139" s="6">
        <f t="shared" si="12"/>
        <v>0</v>
      </c>
      <c r="H139" s="6">
        <f t="shared" si="16"/>
        <v>21384.7</v>
      </c>
      <c r="I139" s="6">
        <f t="shared" si="14"/>
        <v>91632.1</v>
      </c>
      <c r="K139" s="103"/>
      <c r="L139" s="45"/>
    </row>
    <row r="140" spans="1:12" s="2" customFormat="1" ht="18.75">
      <c r="A140" s="17" t="s">
        <v>104</v>
      </c>
      <c r="B140" s="80">
        <v>3710.6</v>
      </c>
      <c r="C140" s="60">
        <v>22263.4</v>
      </c>
      <c r="D140" s="83">
        <f>1236.9+618.4+618.4+618.4</f>
        <v>3092.1000000000004</v>
      </c>
      <c r="E140" s="19">
        <f>D140/D106*100</f>
        <v>52.436914936914945</v>
      </c>
      <c r="F140" s="6">
        <f t="shared" si="15"/>
        <v>83.33153667870427</v>
      </c>
      <c r="G140" s="6">
        <f t="shared" si="12"/>
        <v>13.888714212564118</v>
      </c>
      <c r="H140" s="6">
        <f t="shared" si="16"/>
        <v>618.4999999999995</v>
      </c>
      <c r="I140" s="6">
        <f t="shared" si="14"/>
        <v>19171.300000000003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36556</v>
      </c>
      <c r="C141" s="84">
        <f>C43+C68+C71+C76+C78+C86+C101+C106+C99+C83+C97</f>
        <v>166685.80000000002</v>
      </c>
      <c r="D141" s="60">
        <f>D43+D68+D71+D76+D78+D86+D101+D106+D99+D83+D97</f>
        <v>6419.2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157547.3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80809.8</v>
      </c>
      <c r="E142" s="38">
        <v>100</v>
      </c>
      <c r="F142" s="3">
        <f>D142/B142*100</f>
        <v>51.292405518850536</v>
      </c>
      <c r="G142" s="3">
        <f aca="true" t="shared" si="18" ref="G142:G148">D142/C142*100</f>
        <v>9.074875827967958</v>
      </c>
      <c r="H142" s="3">
        <f aca="true" t="shared" si="19" ref="H142:H148">B142-D142</f>
        <v>76737.49999999999</v>
      </c>
      <c r="I142" s="3">
        <f aca="true" t="shared" si="20" ref="I142:I148">C142-D142</f>
        <v>809668.5</v>
      </c>
      <c r="K142" s="46"/>
      <c r="L142" s="47"/>
    </row>
    <row r="143" spans="1:12" ht="18.75">
      <c r="A143" s="23" t="s">
        <v>5</v>
      </c>
      <c r="B143" s="67">
        <f>B8+B20+B34+B52+B59+B90+B114+B118+B46+B133</f>
        <v>78573.29999999999</v>
      </c>
      <c r="C143" s="67">
        <f>C8+C20+C34+C52+C59+C90+C114+C118+C46+C133</f>
        <v>507335.6</v>
      </c>
      <c r="D143" s="67">
        <f>D8+D20+D34+D52+D59+D90+D114+D118+D46+D133</f>
        <v>55157.600000000006</v>
      </c>
      <c r="E143" s="6">
        <f>D143/D142*100</f>
        <v>68.25607785194372</v>
      </c>
      <c r="F143" s="6">
        <f aca="true" t="shared" si="21" ref="F143:F154">D143/B143*100</f>
        <v>70.19890980778459</v>
      </c>
      <c r="G143" s="6">
        <f t="shared" si="18"/>
        <v>10.872014500855057</v>
      </c>
      <c r="H143" s="6">
        <f t="shared" si="19"/>
        <v>23415.699999999983</v>
      </c>
      <c r="I143" s="18">
        <f t="shared" si="20"/>
        <v>452178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22480.200000000004</v>
      </c>
      <c r="C144" s="68">
        <f>C11+C23+C36+C55+C61+C91+C49+C134+C108+C111+C95</f>
        <v>96283.59999999999</v>
      </c>
      <c r="D144" s="68">
        <f>D11+D23+D36+D55+D61+D91+D49+D134+D108+D111+D95</f>
        <v>4420.700000000001</v>
      </c>
      <c r="E144" s="6">
        <f>D144/D142*100</f>
        <v>5.470499865115371</v>
      </c>
      <c r="F144" s="6">
        <f t="shared" si="21"/>
        <v>19.664860632912518</v>
      </c>
      <c r="G144" s="6">
        <f t="shared" si="18"/>
        <v>4.591332272578094</v>
      </c>
      <c r="H144" s="6">
        <f t="shared" si="19"/>
        <v>18059.500000000004</v>
      </c>
      <c r="I144" s="18">
        <f t="shared" si="20"/>
        <v>91862.9</v>
      </c>
      <c r="K144" s="46"/>
      <c r="L144" s="102"/>
    </row>
    <row r="145" spans="1:12" ht="18.75">
      <c r="A145" s="23" t="s">
        <v>1</v>
      </c>
      <c r="B145" s="67">
        <f>B22+B10+B54+B48+B60+B35+B102+B122</f>
        <v>3931.9</v>
      </c>
      <c r="C145" s="67">
        <f>C22+C10+C54+C48+C60+C35+C102+C122</f>
        <v>25001.3</v>
      </c>
      <c r="D145" s="67">
        <f>D22+D10+D54+D48+D60+D35+D102+D122</f>
        <v>2560.7000000000003</v>
      </c>
      <c r="E145" s="6">
        <f>D145/D142*100</f>
        <v>3.168798833804811</v>
      </c>
      <c r="F145" s="6">
        <f t="shared" si="21"/>
        <v>65.1262748289631</v>
      </c>
      <c r="G145" s="6">
        <f t="shared" si="18"/>
        <v>10.242267402095093</v>
      </c>
      <c r="H145" s="6">
        <f t="shared" si="19"/>
        <v>1371.1999999999998</v>
      </c>
      <c r="I145" s="18">
        <f t="shared" si="20"/>
        <v>22440.6</v>
      </c>
      <c r="K145" s="46"/>
      <c r="L145" s="47"/>
    </row>
    <row r="146" spans="1:12" ht="21" customHeight="1">
      <c r="A146" s="23" t="s">
        <v>15</v>
      </c>
      <c r="B146" s="67">
        <f>B12+B24+B103+B62+B38+B92</f>
        <v>1200.1</v>
      </c>
      <c r="C146" s="67">
        <f>C12+C24+C103+C62+C38+C92</f>
        <v>7627.299999999999</v>
      </c>
      <c r="D146" s="67">
        <f>D12+D24+D103+D62+D38+D92</f>
        <v>580.0999999999999</v>
      </c>
      <c r="E146" s="6">
        <f>D146/D142*100</f>
        <v>0.7178584775608897</v>
      </c>
      <c r="F146" s="6">
        <f t="shared" si="21"/>
        <v>48.33763853012248</v>
      </c>
      <c r="G146" s="6">
        <f t="shared" si="18"/>
        <v>7.605574711890184</v>
      </c>
      <c r="H146" s="6">
        <f t="shared" si="19"/>
        <v>620</v>
      </c>
      <c r="I146" s="18">
        <f t="shared" si="20"/>
        <v>7047.199999999999</v>
      </c>
      <c r="K146" s="46"/>
      <c r="L146" s="102"/>
    </row>
    <row r="147" spans="1:12" ht="18.75">
      <c r="A147" s="23" t="s">
        <v>2</v>
      </c>
      <c r="B147" s="67">
        <f>B9+B21+B47+B53+B121</f>
        <v>656</v>
      </c>
      <c r="C147" s="67">
        <f>C9+C21+C47+C53+C121</f>
        <v>12548.400000000001</v>
      </c>
      <c r="D147" s="67">
        <f>D9+D21+D47+D53+D121</f>
        <v>106.1</v>
      </c>
      <c r="E147" s="6">
        <f>D147/D142*100</f>
        <v>0.13129595667852165</v>
      </c>
      <c r="F147" s="6">
        <f t="shared" si="21"/>
        <v>16.17378048780488</v>
      </c>
      <c r="G147" s="6">
        <f t="shared" si="18"/>
        <v>0.8455261228523158</v>
      </c>
      <c r="H147" s="6">
        <f t="shared" si="19"/>
        <v>549.9</v>
      </c>
      <c r="I147" s="18">
        <f t="shared" si="20"/>
        <v>12442.300000000001</v>
      </c>
      <c r="K147" s="46"/>
      <c r="L147" s="47"/>
    </row>
    <row r="148" spans="1:12" ht="19.5" thickBot="1">
      <c r="A148" s="23" t="s">
        <v>35</v>
      </c>
      <c r="B148" s="67">
        <f>B142-B143-B144-B145-B146-B147</f>
        <v>50705.799999999996</v>
      </c>
      <c r="C148" s="67">
        <f>C142-C143-C144-C145-C146-C147</f>
        <v>241682.10000000012</v>
      </c>
      <c r="D148" s="67">
        <f>D142-D143-D144-D145-D146-D147</f>
        <v>17984.6</v>
      </c>
      <c r="E148" s="6">
        <f>D148/D142*100</f>
        <v>22.255469014896708</v>
      </c>
      <c r="F148" s="6">
        <f t="shared" si="21"/>
        <v>35.46852628298932</v>
      </c>
      <c r="G148" s="43">
        <f t="shared" si="18"/>
        <v>7.44142822327346</v>
      </c>
      <c r="H148" s="6">
        <f t="shared" si="19"/>
        <v>32721.199999999997</v>
      </c>
      <c r="I148" s="6">
        <f t="shared" si="20"/>
        <v>223697.50000000012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/>
      <c r="E150" s="15"/>
      <c r="F150" s="6">
        <f t="shared" si="21"/>
        <v>0</v>
      </c>
      <c r="G150" s="6">
        <f aca="true" t="shared" si="22" ref="G150:G159">D150/C150*100</f>
        <v>0</v>
      </c>
      <c r="H150" s="6">
        <f>B150-D150</f>
        <v>3301.9</v>
      </c>
      <c r="I150" s="6">
        <f aca="true" t="shared" si="23" ref="I150:I159">C150-D150</f>
        <v>3301.9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30726.7</v>
      </c>
      <c r="C152" s="67">
        <v>105819.2</v>
      </c>
      <c r="D152" s="67">
        <f>72</f>
        <v>72</v>
      </c>
      <c r="E152" s="6"/>
      <c r="F152" s="6">
        <f t="shared" si="21"/>
        <v>0.23432389420276176</v>
      </c>
      <c r="G152" s="6">
        <f t="shared" si="22"/>
        <v>0.06804058242738557</v>
      </c>
      <c r="H152" s="6">
        <f t="shared" si="24"/>
        <v>30654.7</v>
      </c>
      <c r="I152" s="6">
        <f t="shared" si="23"/>
        <v>105747.2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0</v>
      </c>
      <c r="C154" s="67">
        <v>54</v>
      </c>
      <c r="D154" s="67"/>
      <c r="E154" s="19"/>
      <c r="F154" s="118" t="e">
        <f t="shared" si="21"/>
        <v>#DIV/0!</v>
      </c>
      <c r="G154" s="6">
        <f t="shared" si="22"/>
        <v>0</v>
      </c>
      <c r="H154" s="6">
        <f t="shared" si="24"/>
        <v>0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190.8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190.8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191766.69999999998</v>
      </c>
      <c r="C159" s="90">
        <f>C142+C150+C154+C155+C151+C158+C157+C152+C156+C153</f>
        <v>1000865.4</v>
      </c>
      <c r="D159" s="90">
        <f>D142+D150+D154+D155+D151+D158+D157+D152+D156+D153</f>
        <v>80881.8</v>
      </c>
      <c r="E159" s="25"/>
      <c r="F159" s="3">
        <f>D159/B159*100</f>
        <v>42.177187175875694</v>
      </c>
      <c r="G159" s="3">
        <f t="shared" si="22"/>
        <v>8.081186541167273</v>
      </c>
      <c r="H159" s="3">
        <f>B159-D159</f>
        <v>110884.89999999998</v>
      </c>
      <c r="I159" s="3">
        <f t="shared" si="23"/>
        <v>919983.6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80809.8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80809.8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2015-02-19T09:04:46Z</cp:lastPrinted>
  <dcterms:created xsi:type="dcterms:W3CDTF">2000-06-20T04:48:00Z</dcterms:created>
  <dcterms:modified xsi:type="dcterms:W3CDTF">2015-02-24T06:01:40Z</dcterms:modified>
  <cp:category/>
  <cp:version/>
  <cp:contentType/>
  <cp:contentStatus/>
</cp:coreProperties>
</file>